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e Merritt\Desktop\"/>
    </mc:Choice>
  </mc:AlternateContent>
  <xr:revisionPtr revIDLastSave="0" documentId="13_ncr:1_{8F3FFED1-6713-4E9E-9046-96C3F2DB1ED4}" xr6:coauthVersionLast="47" xr6:coauthVersionMax="47" xr10:uidLastSave="{00000000-0000-0000-0000-000000000000}"/>
  <bookViews>
    <workbookView xWindow="28680" yWindow="-135" windowWidth="29040" windowHeight="15720" xr2:uid="{9040B5D8-A00F-4765-BF65-1E35C8AAAB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1" l="1"/>
  <c r="O8" i="1"/>
  <c r="G8" i="1"/>
  <c r="H8" i="1" s="1"/>
  <c r="I8" i="1" s="1"/>
  <c r="J8" i="1" s="1"/>
  <c r="K8" i="1" s="1"/>
  <c r="L8" i="1" s="1"/>
  <c r="M8" i="1" s="1"/>
  <c r="N8" i="1" s="1"/>
  <c r="B15" i="1"/>
  <c r="B18" i="1"/>
  <c r="P15" i="1"/>
  <c r="O15" i="1"/>
  <c r="N15" i="1"/>
  <c r="M15" i="1"/>
  <c r="L15" i="1"/>
  <c r="K15" i="1"/>
  <c r="J15" i="1"/>
  <c r="I15" i="1"/>
  <c r="H15" i="1"/>
  <c r="G15" i="1"/>
  <c r="P10" i="1"/>
  <c r="O10" i="1"/>
  <c r="N10" i="1"/>
  <c r="M10" i="1"/>
  <c r="B9" i="1"/>
  <c r="J10" i="1" s="1"/>
  <c r="F7" i="1"/>
  <c r="P11" i="1"/>
  <c r="O11" i="1"/>
  <c r="N11" i="1"/>
  <c r="M11" i="1"/>
  <c r="L11" i="1"/>
  <c r="K11" i="1"/>
  <c r="J11" i="1"/>
  <c r="I11" i="1"/>
  <c r="H11" i="1"/>
  <c r="G11" i="1"/>
  <c r="F11" i="1"/>
  <c r="B10" i="1"/>
  <c r="K10" i="1" l="1"/>
  <c r="L10" i="1"/>
  <c r="H10" i="1"/>
  <c r="G10" i="1"/>
  <c r="I10" i="1"/>
  <c r="G9" i="1"/>
  <c r="H9" i="1" s="1"/>
  <c r="I9" i="1" s="1"/>
  <c r="J9" i="1" s="1"/>
  <c r="K9" i="1" s="1"/>
  <c r="L9" i="1" s="1"/>
  <c r="M9" i="1" s="1"/>
  <c r="N9" i="1" s="1"/>
  <c r="O9" i="1" s="1"/>
  <c r="P9" i="1" s="1"/>
  <c r="G12" i="1" l="1"/>
  <c r="G13" i="1" s="1"/>
  <c r="F12" i="1" l="1"/>
  <c r="F14" i="1" s="1"/>
  <c r="G14" i="1" l="1"/>
  <c r="G16" i="1" s="1"/>
  <c r="H12" i="1"/>
  <c r="H13" i="1" s="1"/>
  <c r="I12" i="1"/>
  <c r="I13" i="1" s="1"/>
  <c r="I14" i="1" l="1"/>
  <c r="I16" i="1" s="1"/>
  <c r="H14" i="1"/>
  <c r="H16" i="1" s="1"/>
  <c r="J12" i="1"/>
  <c r="J13" i="1" s="1"/>
  <c r="J14" i="1" l="1"/>
  <c r="J16" i="1" s="1"/>
  <c r="K12" i="1"/>
  <c r="K13" i="1" s="1"/>
  <c r="K14" i="1" l="1"/>
  <c r="K16" i="1" s="1"/>
  <c r="L12" i="1"/>
  <c r="L13" i="1" s="1"/>
  <c r="L14" i="1" l="1"/>
  <c r="L16" i="1" s="1"/>
  <c r="M12" i="1"/>
  <c r="M13" i="1" s="1"/>
  <c r="M14" i="1" l="1"/>
  <c r="M16" i="1" s="1"/>
  <c r="N12" i="1"/>
  <c r="N13" i="1" s="1"/>
  <c r="N14" i="1" l="1"/>
  <c r="N16" i="1" s="1"/>
  <c r="P12" i="1"/>
  <c r="P13" i="1" s="1"/>
  <c r="O12" i="1"/>
  <c r="O13" i="1" s="1"/>
  <c r="O14" i="1" l="1"/>
  <c r="O16" i="1" s="1"/>
  <c r="P14" i="1"/>
  <c r="P16" i="1" s="1"/>
  <c r="F19" i="1" l="1"/>
  <c r="F20" i="1" l="1"/>
</calcChain>
</file>

<file path=xl/sharedStrings.xml><?xml version="1.0" encoding="utf-8"?>
<sst xmlns="http://schemas.openxmlformats.org/spreadsheetml/2006/main" count="49" uniqueCount="47">
  <si>
    <t>Purchase Price</t>
  </si>
  <si>
    <t>Cost to Run/Hour</t>
  </si>
  <si>
    <t>Hourly Billing Rate</t>
  </si>
  <si>
    <t>Depreciation Term</t>
  </si>
  <si>
    <t>Asset Life</t>
  </si>
  <si>
    <t>Salvage Value</t>
  </si>
  <si>
    <t>Tax Rate</t>
  </si>
  <si>
    <t>Cost of Capital</t>
  </si>
  <si>
    <t>Hourly Cost</t>
  </si>
  <si>
    <t>Billing Rate</t>
  </si>
  <si>
    <t>Hours Operated/Year</t>
  </si>
  <si>
    <t>Inflation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</si>
  <si>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</si>
  <si>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</si>
  <si>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</si>
  <si>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</si>
  <si>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</si>
  <si>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</si>
  <si>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</si>
  <si>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</si>
  <si>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</si>
  <si>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</si>
  <si>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</si>
  <si>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Input</t>
  </si>
  <si>
    <t>Net Present Value</t>
  </si>
  <si>
    <t>IRR</t>
  </si>
  <si>
    <t>Formula</t>
  </si>
  <si>
    <t>Output</t>
  </si>
  <si>
    <t>Total Before Taxes</t>
  </si>
  <si>
    <t>Taxes</t>
  </si>
  <si>
    <t>Total After Taxes</t>
  </si>
  <si>
    <t>Overhead</t>
  </si>
  <si>
    <t>Mark Up</t>
  </si>
  <si>
    <t>Maintenance/Annual</t>
  </si>
  <si>
    <t>Insurance/Annual</t>
  </si>
  <si>
    <t>Fuel Cost/HR</t>
  </si>
  <si>
    <t>Mobilization/HR</t>
  </si>
  <si>
    <t>Debt Service</t>
  </si>
  <si>
    <t>Intererst/Depreciation Shield</t>
  </si>
  <si>
    <t>Interest Rate</t>
  </si>
  <si>
    <t>Annual Payment</t>
  </si>
  <si>
    <t>Yes</t>
  </si>
  <si>
    <t>Loan Term</t>
  </si>
  <si>
    <t>Finance?</t>
  </si>
  <si>
    <t>Purchase Price/Lifetime HRs</t>
  </si>
  <si>
    <t>Net Income</t>
  </si>
  <si>
    <t>Override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</si>
</sst>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1" fontId="0" fillId="2" borderId="2" xfId="0" applyNumberFormat="1" applyFill="1" applyBorder="1" applyAlignment="1">
      <alignment horizontal="right"/>
    </xf>
    <xf numFmtId="165" fontId="0" fillId="2" borderId="2" xfId="2" applyNumberFormat="1" applyFont="1" applyFill="1" applyBorder="1" applyAlignment="1">
      <alignment horizontal="right"/>
    </xf>
    <xf numFmtId="164" fontId="0" fillId="2" borderId="2" xfId="1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41" fontId="0" fillId="3" borderId="0" xfId="0" applyNumberFormat="1" applyFill="1"/>
    <xf numFmtId="41" fontId="0" fillId="3" borderId="0" xfId="2" applyNumberFormat="1" applyFont="1" applyFill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8" fontId="2" fillId="4" borderId="5" xfId="0" applyNumberFormat="1" applyFont="1" applyFill="1" applyBorder="1"/>
    <xf numFmtId="10" fontId="2" fillId="4" borderId="7" xfId="0" applyNumberFormat="1" applyFont="1" applyFill="1" applyBorder="1"/>
    <xf numFmtId="0" fontId="0" fillId="0" borderId="2" xfId="0" applyBorder="1"/>
    <xf numFmtId="164" fontId="0" fillId="0" borderId="0" xfId="1" applyNumberFormat="1" applyFont="1"/>
    <xf numFmtId="10" fontId="0" fillId="0" borderId="0" xfId="3" applyNumberFormat="1" applyFont="1"/>
    <xf numFmtId="43" fontId="0" fillId="0" borderId="0" xfId="1" applyFont="1"/>
    <xf numFmtId="43" fontId="0" fillId="2" borderId="2" xfId="2" applyNumberFormat="1" applyFont="1" applyFill="1" applyBorder="1" applyAlignment="1">
      <alignment horizontal="right"/>
    </xf>
    <xf numFmtId="10" fontId="0" fillId="2" borderId="2" xfId="3" applyNumberFormat="1" applyFont="1" applyFill="1" applyBorder="1" applyAlignment="1">
      <alignment horizontal="right"/>
    </xf>
    <xf numFmtId="43" fontId="0" fillId="3" borderId="2" xfId="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1" fontId="0" fillId="4" borderId="1" xfId="0" applyNumberFormat="1" applyFill="1" applyBorder="1"/>
    <xf numFmtId="41" fontId="2" fillId="4" borderId="1" xfId="0" applyNumberFormat="1" applyFont="1" applyFill="1" applyBorder="1"/>
    <xf numFmtId="8" fontId="0" fillId="0" borderId="0" xfId="0" applyNumberFormat="1"/>
    <xf numFmtId="8" fontId="0" fillId="3" borderId="2" xfId="2" applyNumberFormat="1" applyFont="1" applyFill="1" applyBorder="1" applyAlignment="1">
      <alignment horizontal="right"/>
    </xf>
    <xf numFmtId="10" fontId="4" fillId="0" borderId="0" xfId="0" applyNumberFormat="1" applyFont="1"/>
    <xf numFmtId="10" fontId="0" fillId="0" borderId="0" xfId="3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4AD77-ECCF-46B1-8ADF-8925894149CE}">
  <dimension ref="A1:P29"/>
  <sheetViews>
    <sheetView tabSelected="1" workbookViewId="0">
      <selection activeCell="C19" sqref="C19"/>
    </sheetView>
  </sheetViews>
  <sheetFormatPr defaultRowHeight="15" x14ac:dyDescent="0.25"/>
  <cols>
    <col min="1" max="1" width="26.42578125" bestFit="1" customWidth="1"/>
    <col min="2" max="3" width="13.85546875" customWidth="1"/>
    <col min="4" max="4" width="3.42578125" customWidth="1"/>
    <col min="5" max="5" width="27.5703125" bestFit="1" customWidth="1"/>
    <col min="6" max="16" width="14" customWidth="1"/>
  </cols>
  <sheetData>
    <row r="1" spans="1:16" x14ac:dyDescent="0.25">
      <c r="A1" s="5" t="s">
        <v>23</v>
      </c>
    </row>
    <row r="2" spans="1:16" x14ac:dyDescent="0.25">
      <c r="A2" s="6" t="s">
        <v>26</v>
      </c>
    </row>
    <row r="3" spans="1:16" x14ac:dyDescent="0.25">
      <c r="A3" s="7" t="s">
        <v>27</v>
      </c>
    </row>
    <row r="4" spans="1:16" x14ac:dyDescent="0.25">
      <c r="C4" s="24" t="s">
        <v>46</v>
      </c>
    </row>
    <row r="5" spans="1:16" x14ac:dyDescent="0.25">
      <c r="A5" s="17" t="s">
        <v>0</v>
      </c>
      <c r="B5" s="21">
        <v>481000</v>
      </c>
      <c r="F5" s="25">
        <v>0</v>
      </c>
      <c r="G5" s="25">
        <v>1</v>
      </c>
      <c r="H5" s="25">
        <v>2</v>
      </c>
      <c r="I5" s="25">
        <v>3</v>
      </c>
      <c r="J5" s="25">
        <v>4</v>
      </c>
      <c r="K5" s="25">
        <v>5</v>
      </c>
      <c r="L5" s="25">
        <v>6</v>
      </c>
      <c r="M5" s="25">
        <v>7</v>
      </c>
      <c r="N5" s="25">
        <v>8</v>
      </c>
      <c r="O5" s="25">
        <v>9</v>
      </c>
      <c r="P5" s="25">
        <v>10</v>
      </c>
    </row>
    <row r="6" spans="1:16" x14ac:dyDescent="0.25">
      <c r="A6" s="17" t="s">
        <v>43</v>
      </c>
      <c r="B6" s="21" t="s">
        <v>41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20</v>
      </c>
      <c r="O6" s="10" t="s">
        <v>21</v>
      </c>
      <c r="P6" s="10" t="s">
        <v>22</v>
      </c>
    </row>
    <row r="7" spans="1:16" x14ac:dyDescent="0.25">
      <c r="A7" s="17" t="s">
        <v>39</v>
      </c>
      <c r="B7" s="22">
        <v>0.08</v>
      </c>
      <c r="E7" t="s">
        <v>0</v>
      </c>
      <c r="F7" s="8">
        <f>IF(B6="Yes",0,-B5)</f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x14ac:dyDescent="0.25">
      <c r="A8" s="17" t="s">
        <v>42</v>
      </c>
      <c r="B8" s="2">
        <v>6</v>
      </c>
      <c r="E8" t="s">
        <v>9</v>
      </c>
      <c r="F8" s="8">
        <v>0</v>
      </c>
      <c r="G8" s="8">
        <f>IF($B$19&gt;=G5,$B$18*$B$24,0)</f>
        <v>150000</v>
      </c>
      <c r="H8" s="8">
        <f>IF($B$19&gt;=H5,G8*(1+$B$25),0)</f>
        <v>153000</v>
      </c>
      <c r="I8" s="8">
        <f t="shared" ref="I8:P8" si="0">IF($B$19&gt;=I5,H8*(1+$B$25),0)</f>
        <v>156060</v>
      </c>
      <c r="J8" s="8">
        <f t="shared" si="0"/>
        <v>159181.20000000001</v>
      </c>
      <c r="K8" s="8">
        <f t="shared" si="0"/>
        <v>162364.82400000002</v>
      </c>
      <c r="L8" s="8">
        <f t="shared" si="0"/>
        <v>165612.12048000001</v>
      </c>
      <c r="M8" s="8">
        <f t="shared" si="0"/>
        <v>168924.36288960002</v>
      </c>
      <c r="N8" s="8">
        <f t="shared" si="0"/>
        <v>172302.85014739202</v>
      </c>
      <c r="O8" s="8">
        <f t="shared" si="0"/>
        <v>0</v>
      </c>
      <c r="P8" s="8">
        <f t="shared" si="0"/>
        <v>0</v>
      </c>
    </row>
    <row r="9" spans="1:16" x14ac:dyDescent="0.25">
      <c r="A9" s="17" t="s">
        <v>40</v>
      </c>
      <c r="B9" s="29">
        <f>PMT(B7,B8,-B5)</f>
        <v>104047.70077615372</v>
      </c>
      <c r="E9" t="s">
        <v>8</v>
      </c>
      <c r="F9" s="8">
        <v>0</v>
      </c>
      <c r="G9" s="9">
        <f>IF(F11&gt;0,0,-$B$15*$B$24)</f>
        <v>-85380</v>
      </c>
      <c r="H9" s="8">
        <f t="shared" ref="H9:P9" si="1">IF(G11&gt;0,0,G9*(1+$B$25))</f>
        <v>-87087.6</v>
      </c>
      <c r="I9" s="8">
        <f t="shared" si="1"/>
        <v>-88829.352000000014</v>
      </c>
      <c r="J9" s="8">
        <f t="shared" si="1"/>
        <v>-90605.939040000012</v>
      </c>
      <c r="K9" s="8">
        <f t="shared" si="1"/>
        <v>-92418.057820800008</v>
      </c>
      <c r="L9" s="8">
        <f t="shared" si="1"/>
        <v>-94266.418977216003</v>
      </c>
      <c r="M9" s="8">
        <f t="shared" si="1"/>
        <v>-96151.74735676033</v>
      </c>
      <c r="N9" s="8">
        <f t="shared" si="1"/>
        <v>-98074.782303895539</v>
      </c>
      <c r="O9" s="8">
        <f t="shared" si="1"/>
        <v>0</v>
      </c>
      <c r="P9" s="8">
        <f t="shared" si="1"/>
        <v>0</v>
      </c>
    </row>
    <row r="10" spans="1:16" x14ac:dyDescent="0.25">
      <c r="A10" s="17" t="s">
        <v>44</v>
      </c>
      <c r="B10" s="23">
        <f>(B5-B21)/(B19*B24)</f>
        <v>53.875</v>
      </c>
      <c r="E10" t="s">
        <v>37</v>
      </c>
      <c r="F10" s="8">
        <v>0</v>
      </c>
      <c r="G10" s="8">
        <f t="shared" ref="G10:P10" si="2">IF(AND($B$6="Yes",G5&lt;=$B$8),-$B$9,0)</f>
        <v>-104047.70077615372</v>
      </c>
      <c r="H10" s="8">
        <f t="shared" si="2"/>
        <v>-104047.70077615372</v>
      </c>
      <c r="I10" s="8">
        <f t="shared" si="2"/>
        <v>-104047.70077615372</v>
      </c>
      <c r="J10" s="8">
        <f t="shared" si="2"/>
        <v>-104047.70077615372</v>
      </c>
      <c r="K10" s="8">
        <f t="shared" si="2"/>
        <v>-104047.70077615372</v>
      </c>
      <c r="L10" s="8">
        <f t="shared" si="2"/>
        <v>-104047.70077615372</v>
      </c>
      <c r="M10" s="8">
        <f t="shared" si="2"/>
        <v>0</v>
      </c>
      <c r="N10" s="8">
        <f t="shared" si="2"/>
        <v>0</v>
      </c>
      <c r="O10" s="8">
        <f t="shared" si="2"/>
        <v>0</v>
      </c>
      <c r="P10" s="8">
        <f t="shared" si="2"/>
        <v>0</v>
      </c>
    </row>
    <row r="11" spans="1:16" x14ac:dyDescent="0.25">
      <c r="A11" s="17" t="s">
        <v>33</v>
      </c>
      <c r="B11" s="21">
        <v>30000</v>
      </c>
      <c r="E11" t="s">
        <v>5</v>
      </c>
      <c r="F11" s="8">
        <f t="shared" ref="F11:P11" si="3">IF(F5=$B$19,$B$21,0)</f>
        <v>0</v>
      </c>
      <c r="G11" s="8">
        <f t="shared" si="3"/>
        <v>0</v>
      </c>
      <c r="H11" s="8">
        <f t="shared" si="3"/>
        <v>0</v>
      </c>
      <c r="I11" s="8">
        <f t="shared" si="3"/>
        <v>0</v>
      </c>
      <c r="J11" s="8">
        <f t="shared" si="3"/>
        <v>0</v>
      </c>
      <c r="K11" s="8">
        <f t="shared" si="3"/>
        <v>0</v>
      </c>
      <c r="L11" s="8">
        <f t="shared" si="3"/>
        <v>0</v>
      </c>
      <c r="M11" s="8">
        <f t="shared" si="3"/>
        <v>0</v>
      </c>
      <c r="N11" s="8">
        <f t="shared" si="3"/>
        <v>50000</v>
      </c>
      <c r="O11" s="8">
        <f t="shared" si="3"/>
        <v>0</v>
      </c>
      <c r="P11" s="8">
        <f t="shared" si="3"/>
        <v>0</v>
      </c>
    </row>
    <row r="12" spans="1:16" x14ac:dyDescent="0.25">
      <c r="A12" s="17" t="s">
        <v>34</v>
      </c>
      <c r="B12" s="21">
        <v>3000</v>
      </c>
      <c r="E12" s="1" t="s">
        <v>28</v>
      </c>
      <c r="F12" s="26">
        <f t="shared" ref="F12:P12" si="4">SUM(F7:F11)</f>
        <v>0</v>
      </c>
      <c r="G12" s="26">
        <f t="shared" si="4"/>
        <v>-39427.700776153724</v>
      </c>
      <c r="H12" s="26">
        <f t="shared" si="4"/>
        <v>-38135.30077615373</v>
      </c>
      <c r="I12" s="26">
        <f t="shared" si="4"/>
        <v>-36817.052776153738</v>
      </c>
      <c r="J12" s="26">
        <f t="shared" si="4"/>
        <v>-35472.439816153725</v>
      </c>
      <c r="K12" s="26">
        <f t="shared" si="4"/>
        <v>-34100.93459695371</v>
      </c>
      <c r="L12" s="26">
        <f t="shared" si="4"/>
        <v>-32701.999273369715</v>
      </c>
      <c r="M12" s="26">
        <f t="shared" si="4"/>
        <v>72772.615532839685</v>
      </c>
      <c r="N12" s="26">
        <f t="shared" si="4"/>
        <v>124228.06784349648</v>
      </c>
      <c r="O12" s="26">
        <f t="shared" si="4"/>
        <v>0</v>
      </c>
      <c r="P12" s="26">
        <f t="shared" si="4"/>
        <v>0</v>
      </c>
    </row>
    <row r="13" spans="1:16" x14ac:dyDescent="0.25">
      <c r="A13" s="17" t="s">
        <v>35</v>
      </c>
      <c r="B13" s="21">
        <v>47.5</v>
      </c>
      <c r="E13" s="11" t="s">
        <v>29</v>
      </c>
      <c r="F13" s="8">
        <v>0</v>
      </c>
      <c r="G13" s="8">
        <f t="shared" ref="G13:P13" si="5">IF(G12&lt;0,0,-G12*$B$22)</f>
        <v>0</v>
      </c>
      <c r="H13" s="8">
        <f t="shared" si="5"/>
        <v>0</v>
      </c>
      <c r="I13" s="8">
        <f t="shared" si="5"/>
        <v>0</v>
      </c>
      <c r="J13" s="8">
        <f t="shared" si="5"/>
        <v>0</v>
      </c>
      <c r="K13" s="8">
        <f t="shared" si="5"/>
        <v>0</v>
      </c>
      <c r="L13" s="8">
        <f t="shared" si="5"/>
        <v>0</v>
      </c>
      <c r="M13" s="8">
        <f t="shared" si="5"/>
        <v>-25470.415436493888</v>
      </c>
      <c r="N13" s="8">
        <f t="shared" si="5"/>
        <v>-43479.823745223766</v>
      </c>
      <c r="O13" s="8">
        <f t="shared" si="5"/>
        <v>0</v>
      </c>
      <c r="P13" s="8">
        <f t="shared" si="5"/>
        <v>0</v>
      </c>
    </row>
    <row r="14" spans="1:16" x14ac:dyDescent="0.25">
      <c r="A14" s="17" t="s">
        <v>36</v>
      </c>
      <c r="B14" s="21">
        <v>4.88</v>
      </c>
      <c r="E14" t="s">
        <v>30</v>
      </c>
      <c r="F14" s="26">
        <f>SUM(F12:F13)</f>
        <v>0</v>
      </c>
      <c r="G14" s="26">
        <f t="shared" ref="G14:O14" si="6">SUM(G12:G13)</f>
        <v>-39427.700776153724</v>
      </c>
      <c r="H14" s="26">
        <f t="shared" si="6"/>
        <v>-38135.30077615373</v>
      </c>
      <c r="I14" s="26">
        <f t="shared" si="6"/>
        <v>-36817.052776153738</v>
      </c>
      <c r="J14" s="26">
        <f t="shared" si="6"/>
        <v>-35472.439816153725</v>
      </c>
      <c r="K14" s="26">
        <f t="shared" si="6"/>
        <v>-34100.93459695371</v>
      </c>
      <c r="L14" s="26">
        <f t="shared" si="6"/>
        <v>-32701.999273369715</v>
      </c>
      <c r="M14" s="26">
        <f t="shared" si="6"/>
        <v>47302.200096345798</v>
      </c>
      <c r="N14" s="26">
        <f t="shared" si="6"/>
        <v>80748.244098272713</v>
      </c>
      <c r="O14" s="26">
        <f t="shared" si="6"/>
        <v>0</v>
      </c>
      <c r="P14" s="26">
        <f>SUM(P12:P13)</f>
        <v>0</v>
      </c>
    </row>
    <row r="15" spans="1:16" x14ac:dyDescent="0.25">
      <c r="A15" s="17" t="s">
        <v>1</v>
      </c>
      <c r="B15" s="23">
        <f>((B11+B12)/B24)+B13+B14</f>
        <v>85.38</v>
      </c>
      <c r="E15" t="s">
        <v>38</v>
      </c>
      <c r="F15" s="8">
        <v>0</v>
      </c>
      <c r="G15" s="8">
        <f t="shared" ref="G15:P15" si="7">IF(G5&lt;=$B$20,(($B$5-$B$21)/$B$20)*$B$22,0)+IF(G5&lt;=$B$8,(IPMT($B$7,G5,$B$8,-$B$5)*$B$22),0)</f>
        <v>35018</v>
      </c>
      <c r="H15" s="8">
        <f t="shared" si="7"/>
        <v>33182.104378267701</v>
      </c>
      <c r="I15" s="8">
        <f t="shared" si="7"/>
        <v>31199.337106796804</v>
      </c>
      <c r="J15" s="8">
        <f t="shared" si="7"/>
        <v>29057.948453608245</v>
      </c>
      <c r="K15" s="8">
        <f t="shared" si="7"/>
        <v>26745.248708164603</v>
      </c>
      <c r="L15" s="8">
        <f t="shared" si="7"/>
        <v>24247.532983085468</v>
      </c>
      <c r="M15" s="8">
        <f t="shared" si="7"/>
        <v>21550</v>
      </c>
      <c r="N15" s="8">
        <f t="shared" si="7"/>
        <v>0</v>
      </c>
      <c r="O15" s="8">
        <f t="shared" si="7"/>
        <v>0</v>
      </c>
      <c r="P15" s="8">
        <f t="shared" si="7"/>
        <v>0</v>
      </c>
    </row>
    <row r="16" spans="1:16" x14ac:dyDescent="0.25">
      <c r="A16" s="17" t="s">
        <v>31</v>
      </c>
      <c r="B16" s="22">
        <v>0.1125</v>
      </c>
      <c r="E16" s="12" t="s">
        <v>45</v>
      </c>
      <c r="F16" s="27">
        <v>-1</v>
      </c>
      <c r="G16" s="27">
        <f>SUM(G14:G15)</f>
        <v>-4409.7007761537243</v>
      </c>
      <c r="H16" s="27">
        <f t="shared" ref="H16:P16" si="8">SUM(H14:H15)</f>
        <v>-4953.1963978860294</v>
      </c>
      <c r="I16" s="27">
        <f t="shared" si="8"/>
        <v>-5617.7156693569341</v>
      </c>
      <c r="J16" s="27">
        <f t="shared" si="8"/>
        <v>-6414.4913625454792</v>
      </c>
      <c r="K16" s="27">
        <f t="shared" si="8"/>
        <v>-7355.6858887891067</v>
      </c>
      <c r="L16" s="27">
        <f t="shared" si="8"/>
        <v>-8454.4662902842465</v>
      </c>
      <c r="M16" s="27">
        <f t="shared" si="8"/>
        <v>68852.200096345798</v>
      </c>
      <c r="N16" s="27">
        <f t="shared" si="8"/>
        <v>80748.244098272713</v>
      </c>
      <c r="O16" s="27">
        <f t="shared" si="8"/>
        <v>0</v>
      </c>
      <c r="P16" s="27">
        <f t="shared" si="8"/>
        <v>0</v>
      </c>
    </row>
    <row r="17" spans="1:16" x14ac:dyDescent="0.25">
      <c r="A17" s="17" t="s">
        <v>32</v>
      </c>
      <c r="B17" s="22">
        <v>0.05</v>
      </c>
    </row>
    <row r="18" spans="1:16" ht="15.75" thickBot="1" x14ac:dyDescent="0.3">
      <c r="A18" s="17" t="s">
        <v>2</v>
      </c>
      <c r="B18" s="23">
        <f>IF(C18&gt;0,C18,(B15+B10)*(1+B16)*(1+B17))</f>
        <v>150</v>
      </c>
      <c r="C18" s="20">
        <v>150</v>
      </c>
    </row>
    <row r="19" spans="1:16" x14ac:dyDescent="0.25">
      <c r="A19" s="17" t="s">
        <v>4</v>
      </c>
      <c r="B19" s="2">
        <v>8</v>
      </c>
      <c r="E19" s="13" t="s">
        <v>24</v>
      </c>
      <c r="F19" s="15">
        <f>NPV($B$23,F16:P16)</f>
        <v>35124.103359144523</v>
      </c>
      <c r="G19" s="28"/>
      <c r="H19" s="28"/>
      <c r="I19" s="28"/>
      <c r="J19" s="28"/>
    </row>
    <row r="20" spans="1:16" ht="15.75" thickBot="1" x14ac:dyDescent="0.3">
      <c r="A20" s="17" t="s">
        <v>3</v>
      </c>
      <c r="B20" s="2">
        <v>7</v>
      </c>
      <c r="E20" s="14" t="s">
        <v>25</v>
      </c>
      <c r="F20" s="16">
        <f>IRR(F16:P16)</f>
        <v>0.40303709055823833</v>
      </c>
    </row>
    <row r="21" spans="1:16" x14ac:dyDescent="0.25">
      <c r="A21" s="17" t="s">
        <v>5</v>
      </c>
      <c r="B21" s="3">
        <v>50000</v>
      </c>
    </row>
    <row r="22" spans="1:16" x14ac:dyDescent="0.25">
      <c r="A22" s="17" t="s">
        <v>6</v>
      </c>
      <c r="B22" s="22">
        <v>0.35</v>
      </c>
      <c r="F22" s="19"/>
    </row>
    <row r="23" spans="1:16" x14ac:dyDescent="0.25">
      <c r="A23" s="17" t="s">
        <v>7</v>
      </c>
      <c r="B23" s="22">
        <v>0.12</v>
      </c>
      <c r="G23" s="30"/>
      <c r="H23" s="24"/>
      <c r="I23" s="24"/>
      <c r="J23" s="24"/>
      <c r="K23" s="24"/>
      <c r="L23" s="24"/>
      <c r="M23" s="24"/>
      <c r="N23" s="24"/>
      <c r="O23" s="24"/>
      <c r="P23" s="24"/>
    </row>
    <row r="24" spans="1:16" x14ac:dyDescent="0.25">
      <c r="A24" s="17" t="s">
        <v>10</v>
      </c>
      <c r="B24" s="4">
        <v>1000</v>
      </c>
      <c r="G24" s="18"/>
      <c r="H24" s="31"/>
      <c r="I24" s="31"/>
      <c r="J24" s="31"/>
      <c r="K24" s="31"/>
      <c r="L24" s="31"/>
      <c r="M24" s="31"/>
      <c r="N24" s="31"/>
      <c r="O24" s="31"/>
      <c r="P24" s="31"/>
    </row>
    <row r="25" spans="1:16" x14ac:dyDescent="0.25">
      <c r="A25" s="17" t="s">
        <v>11</v>
      </c>
      <c r="B25" s="22">
        <v>0.02</v>
      </c>
      <c r="G25" s="18"/>
      <c r="H25" s="31"/>
      <c r="I25" s="31"/>
      <c r="J25" s="31"/>
      <c r="K25" s="31"/>
      <c r="L25" s="31"/>
      <c r="M25" s="31"/>
      <c r="N25" s="31"/>
      <c r="O25" s="31"/>
      <c r="P25" s="31"/>
    </row>
    <row r="26" spans="1:16" x14ac:dyDescent="0.25">
      <c r="G26" s="18"/>
      <c r="H26" s="31"/>
      <c r="I26" s="31"/>
      <c r="J26" s="31"/>
      <c r="K26" s="31"/>
      <c r="L26" s="31"/>
      <c r="M26" s="31"/>
      <c r="N26" s="31"/>
      <c r="O26" s="31"/>
      <c r="P26" s="31"/>
    </row>
    <row r="27" spans="1:16" x14ac:dyDescent="0.25">
      <c r="G27" s="18"/>
      <c r="H27" s="31"/>
      <c r="I27" s="31"/>
      <c r="J27" s="31"/>
      <c r="K27" s="31"/>
      <c r="L27" s="31"/>
      <c r="M27" s="31"/>
      <c r="N27" s="31"/>
      <c r="O27" s="31"/>
      <c r="P27" s="31"/>
    </row>
    <row r="28" spans="1:16" x14ac:dyDescent="0.25">
      <c r="G28" s="18"/>
      <c r="H28" s="31"/>
      <c r="I28" s="31"/>
      <c r="J28" s="31"/>
      <c r="K28" s="31"/>
      <c r="L28" s="31"/>
      <c r="M28" s="31"/>
      <c r="N28" s="31"/>
      <c r="O28" s="31"/>
      <c r="P28" s="31"/>
    </row>
    <row r="29" spans="1:16" x14ac:dyDescent="0.25">
      <c r="G29" s="18"/>
      <c r="H29" s="31"/>
      <c r="I29" s="31"/>
      <c r="J29" s="31"/>
      <c r="K29" s="31"/>
      <c r="L29" s="31"/>
      <c r="M29" s="31"/>
      <c r="N29" s="31"/>
      <c r="O29" s="31"/>
      <c r="P29" s="31"/>
    </row>
  </sheetData>
  <phoneticPr fontId="3" type="noConversion"/>
  <dataValidations disablePrompts="1" count="1">
    <dataValidation type="list" allowBlank="1" showInputMessage="1" showErrorMessage="1" sqref="B6" xr:uid="{ED640C2F-A932-41BC-884A-ADE16524D240}">
      <formula1>"Yes,No"</formula1>
    </dataValidation>
  </dataValidations>
  <pageMargins left="0.7" right="0.7" top="0.75" bottom="0.75" header="0.3" footer="0.3"/>
  <pageSetup orientation="portrait" horizontalDpi="1200" verticalDpi="1200" r:id="rId1"/>
  <ignoredErrors>
    <ignoredError sqref="P15 G1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8a53d926-79b2-4007-aac0-55c2ac6f6376">
      <Terms xmlns="http://schemas.microsoft.com/office/infopath/2007/PartnerControls"/>
    </lcf76f155ced4ddcb4097134ff3c332f>
    <TaxCatchAll xmlns="421a7905-bafe-49be-a52d-25ed1bf7f251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0B75F0F85B6E41919576262B653573" ma:contentTypeVersion="18" ma:contentTypeDescription="Create a new document." ma:contentTypeScope="" ma:versionID="0840a5155ed8ba4e871dc699e5c863d7">
  <xsd:schema xmlns:xsd="http://www.w3.org/2001/XMLSchema" xmlns:xs="http://www.w3.org/2001/XMLSchema" xmlns:p="http://schemas.microsoft.com/office/2006/metadata/properties" xmlns:ns1="http://schemas.microsoft.com/sharepoint/v3" xmlns:ns2="421a7905-bafe-49be-a52d-25ed1bf7f251" xmlns:ns3="8a53d926-79b2-4007-aac0-55c2ac6f6376" targetNamespace="http://schemas.microsoft.com/office/2006/metadata/properties" ma:root="true" ma:fieldsID="06263ee37980d4e38ff603c51bba1bdf" ns1:_="" ns2:_="" ns3:_="">
    <xsd:import namespace="http://schemas.microsoft.com/sharepoint/v3"/>
    <xsd:import namespace="421a7905-bafe-49be-a52d-25ed1bf7f251"/>
    <xsd:import namespace="8a53d926-79b2-4007-aac0-55c2ac6f637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a7905-bafe-49be-a52d-25ed1bf7f25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d2529b1-28b1-4032-9a8e-429dc42ade0f}" ma:internalName="TaxCatchAll" ma:showField="CatchAllData" ma:web="421a7905-bafe-49be-a52d-25ed1bf7f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3d926-79b2-4007-aac0-55c2ac6f63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8ae69d0-0451-4cfa-871f-f60fca5bf1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8F2F63-8812-4578-8B41-A49A7744A2C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a53d926-79b2-4007-aac0-55c2ac6f6376"/>
    <ds:schemaRef ds:uri="421a7905-bafe-49be-a52d-25ed1bf7f251"/>
  </ds:schemaRefs>
</ds:datastoreItem>
</file>

<file path=customXml/itemProps2.xml><?xml version="1.0" encoding="utf-8"?>
<ds:datastoreItem xmlns:ds="http://schemas.openxmlformats.org/officeDocument/2006/customXml" ds:itemID="{EAC70EB6-233A-4225-86CA-61358BC6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4406A6-850C-4C37-881A-6679E60CB5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1a7905-bafe-49be-a52d-25ed1bf7f251"/>
    <ds:schemaRef ds:uri="8a53d926-79b2-4007-aac0-55c2ac6f63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Merritt</dc:creator>
  <cp:lastModifiedBy>Jake Merritt</cp:lastModifiedBy>
  <dcterms:created xsi:type="dcterms:W3CDTF">2020-12-18T13:31:23Z</dcterms:created>
  <dcterms:modified xsi:type="dcterms:W3CDTF">2023-10-02T15:23:48Z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0x010100290B75F0F85B6E41919576262B653573</vt:lpwstr>
  </property>
</Properties>
</file>